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eal Analyzer" sheetId="1" state="visible" r:id="rId3"/>
    <sheet name="10-Year Projection" sheetId="2" state="visible" r:id="rId4"/>
    <sheet name="Reno Log" sheetId="3" state="visible" r:id="rId5"/>
    <sheet name="How To Use"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<sst xmlns="http://schemas.openxmlformats.org/spreadsheetml/2006/main" count="105" uniqueCount="105">
  <si>
    <t xml:space="preserve">THE INVESTOR REALTOR — DAY-ONE DEAL ANALYZER</t>
  </si>
  <si>
    <t xml:space="preserve">"You don't make money when you sell. You make it when you buy."   ·   TheInvestorRealtor.ca</t>
  </si>
  <si>
    <t xml:space="preserve">HOW TO USE: fill the yellow cells (blue text). Black cells calculate automatically — including Ontario land transfer tax.</t>
  </si>
  <si>
    <t xml:space="preserve">1 · THE PURCHASE</t>
  </si>
  <si>
    <t xml:space="preserve">INCOME STATEMENT (MONTHLY)</t>
  </si>
  <si>
    <t xml:space="preserve">Asking / list price</t>
  </si>
  <si>
    <t xml:space="preserve">Potential gross income (PGI)</t>
  </si>
  <si>
    <t xml:space="preserve">Your purchase price</t>
  </si>
  <si>
    <t xml:space="preserve">Less: vacancy &amp; bad debt</t>
  </si>
  <si>
    <t xml:space="preserve">Renovation budget</t>
  </si>
  <si>
    <t xml:space="preserve">Effective gross income (EGI)</t>
  </si>
  <si>
    <t xml:space="preserve">Lawyer &amp; title</t>
  </si>
  <si>
    <t xml:space="preserve">Less: operating expenses</t>
  </si>
  <si>
    <t xml:space="preserve">Inspection &amp; other closing</t>
  </si>
  <si>
    <t xml:space="preserve">Net operating income (NOI)</t>
  </si>
  <si>
    <t xml:space="preserve">After-reno value (ARV — sold comps, round down)</t>
  </si>
  <si>
    <t xml:space="preserve">Less: mortgage payment (P+I)</t>
  </si>
  <si>
    <t xml:space="preserve">Ontario land transfer tax (auto)</t>
  </si>
  <si>
    <t xml:space="preserve">MONTHLY CASH FLOW</t>
  </si>
  <si>
    <t xml:space="preserve">2 · THE FINANCING</t>
  </si>
  <si>
    <t xml:space="preserve">THE DEAL</t>
  </si>
  <si>
    <t xml:space="preserve">Down payment (%)</t>
  </si>
  <si>
    <t xml:space="preserve">All-in cost (price + reno + closing + LTT)</t>
  </si>
  <si>
    <t xml:space="preserve">Interest rate (annual)</t>
  </si>
  <si>
    <t xml:space="preserve">Bought under list by</t>
  </si>
  <si>
    <t xml:space="preserve">Amortization (years)</t>
  </si>
  <si>
    <t xml:space="preserve">Day-one equity (ARV − all-in)</t>
  </si>
  <si>
    <t xml:space="preserve">Cash needed (down + reno + closing)</t>
  </si>
  <si>
    <t xml:space="preserve">3 · THE INCOME (MONTHLY RENT PER UNIT)</t>
  </si>
  <si>
    <t xml:space="preserve">Annual cash flow</t>
  </si>
  <si>
    <t xml:space="preserve">Unit 1 (e.g. main floor)</t>
  </si>
  <si>
    <t xml:space="preserve">Cap rate (annual NOI ÷ all-in)</t>
  </si>
  <si>
    <t xml:space="preserve">Unit 2 (e.g. basement suite)</t>
  </si>
  <si>
    <t xml:space="preserve">Cash-on-cash return</t>
  </si>
  <si>
    <t xml:space="preserve">Unit 3</t>
  </si>
  <si>
    <t xml:space="preserve">Unit 4</t>
  </si>
  <si>
    <t xml:space="preserve">DAY-ONE VALUE CHECK</t>
  </si>
  <si>
    <t xml:space="preserve">Other income (garage, laundry)</t>
  </si>
  <si>
    <t xml:space="preserve">Under-market entry?</t>
  </si>
  <si>
    <t xml:space="preserve">Vacancy &amp; bad debt (%)</t>
  </si>
  <si>
    <t xml:space="preserve">Day-one equity?</t>
  </si>
  <si>
    <t xml:space="preserve">Cash flow positive?</t>
  </si>
  <si>
    <t xml:space="preserve">4 · OPERATING EXPENSES (MONTHLY)</t>
  </si>
  <si>
    <t xml:space="preserve">THE RULE</t>
  </si>
  <si>
    <t xml:space="preserve">Property tax</t>
  </si>
  <si>
    <t xml:space="preserve">If none of the three checks say YES, the deal only works if prices go up. That's not investing — that's waiting. Walk, renegotiate, or find the value-add.</t>
  </si>
  <si>
    <t xml:space="preserve">Insurance</t>
  </si>
  <si>
    <t xml:space="preserve">Gas</t>
  </si>
  <si>
    <t xml:space="preserve">Electricity</t>
  </si>
  <si>
    <t xml:space="preserve">Water</t>
  </si>
  <si>
    <t xml:space="preserve">Snow / lawn</t>
  </si>
  <si>
    <t xml:space="preserve">Property management (0 if self)</t>
  </si>
  <si>
    <t xml:space="preserve">Maintenance reserve</t>
  </si>
  <si>
    <t xml:space="preserve">Bookkeeping / accounting</t>
  </si>
  <si>
    <t xml:space="preserve">For education only — estimates, not advice. LTT formula is Ontario provincial (excl. Toronto municipal LTT). Verify all numbers independently. Andrews Moses Jebaraj, Salesperson, The Canadian Home Realty Inc., Brokerage. Not intended to solicit clients under contract.</t>
  </si>
  <si>
    <t xml:space="preserve">10-YEAR PROJECTION — THE THREE WAYS A PROPERTY PAYS YOU</t>
  </si>
  <si>
    <t xml:space="preserve">Growth assumptions (yellow = edit):</t>
  </si>
  <si>
    <t xml:space="preserve">Rent growth (annual)</t>
  </si>
  <si>
    <t xml:space="preserve">Expense growth (annual)</t>
  </si>
  <si>
    <t xml:space="preserve">Appreciation (annual)</t>
  </si>
  <si>
    <t xml:space="preserve">Year</t>
  </si>
  <si>
    <t xml:space="preserve">Year 1</t>
  </si>
  <si>
    <t xml:space="preserve">Year 2</t>
  </si>
  <si>
    <t xml:space="preserve">Year 3</t>
  </si>
  <si>
    <t xml:space="preserve">Year 4</t>
  </si>
  <si>
    <t xml:space="preserve">Year 5</t>
  </si>
  <si>
    <t xml:space="preserve">Year 6</t>
  </si>
  <si>
    <t xml:space="preserve">Year 7</t>
  </si>
  <si>
    <t xml:space="preserve">Year 8</t>
  </si>
  <si>
    <t xml:space="preserve">Year 9</t>
  </si>
  <si>
    <t xml:space="preserve">Year 10</t>
  </si>
  <si>
    <t xml:space="preserve">Effective gross income</t>
  </si>
  <si>
    <t xml:space="preserve">Operating expenses</t>
  </si>
  <si>
    <t xml:space="preserve">Net operating income</t>
  </si>
  <si>
    <t xml:space="preserve">Debt service</t>
  </si>
  <si>
    <t xml:space="preserve">Free cash flow</t>
  </si>
  <si>
    <t xml:space="preserve">Appreciation gain (cumulative)</t>
  </si>
  <si>
    <t xml:space="preserve">Principal paid down (cumulative)</t>
  </si>
  <si>
    <t xml:space="preserve">Cumulative free cash flow</t>
  </si>
  <si>
    <t xml:space="preserve">TOTAL RETURN (cumulative)</t>
  </si>
  <si>
    <t xml:space="preserve">ROI on cash invested (cumulative)</t>
  </si>
  <si>
    <t xml:space="preserve">Three ways a property pays you: cash flow, appreciation, and principal paydown. Notice which one you control on day one — the price you pay. Assumptions are conservative defaults; change them and watch the sensitivity.</t>
  </si>
  <si>
    <t xml:space="preserve">RENOVATION LOG — TRACK EVERY DOLLAR OF THE VALUE-ADD</t>
  </si>
  <si>
    <t xml:space="preserve">Service / Purchase</t>
  </si>
  <si>
    <t xml:space="preserve">Date</t>
  </si>
  <si>
    <t xml:space="preserve">Cost</t>
  </si>
  <si>
    <t xml:space="preserve">Paid to</t>
  </si>
  <si>
    <t xml:space="preserve">Description</t>
  </si>
  <si>
    <t xml:space="preserve">Kitchen — cabinets &amp; counters</t>
  </si>
  <si>
    <t xml:space="preserve">2026-06-15</t>
  </si>
  <si>
    <t xml:space="preserve">ABC Contracting</t>
  </si>
  <si>
    <t xml:space="preserve">Full kitchen refresh, both units</t>
  </si>
  <si>
    <t xml:space="preserve">TOTAL:</t>
  </si>
  <si>
    <t xml:space="preserve">Tip: compare this total to the Renovation budget on the Deal Analyzer tab. Discipline on the reno IS the deal.</t>
  </si>
  <si>
    <t xml:space="preserve">THE INVESTOR REALTOR — HOW TO USE THIS ANALYZER</t>
  </si>
  <si>
    <t xml:space="preserve">DEAL ANALYZER TAB — fill the yellow cells. Land transfer tax (Ontario) calculates itself from your purchase price.</t>
  </si>
  <si>
    <t xml:space="preserve">Be conservative with ARV: sold comps only, round down. Include vacancy and maintenance — real deals carry real costs.</t>
  </si>
  <si>
    <t xml:space="preserve">A real deal says YES to at least one day-one check: under-market entry, day-one equity, or cash flow.</t>
  </si>
  <si>
    <t xml:space="preserve">10-YEAR PROJECTION TAB — see all three ways the property pays you: cash flow, appreciation, principal paydown.</t>
  </si>
  <si>
    <t xml:space="preserve">Appreciation defaults to a conservative 2%. Notice it's the only return you don't control — which is why it's the bonus, never the plan.</t>
  </si>
  <si>
    <t xml:space="preserve">RENO LOG TAB — track every value-add dollar against your budget. Discipline on the reno IS the deal.</t>
  </si>
  <si>
    <t xml:space="preserve">Want a second set of eyes on a real deal? I run these numbers on every property my clients look at —</t>
  </si>
  <si>
    <t xml:space="preserve">the same way I run them on my own portfolio. Book a call at TheInvestorRealtor.ca</t>
  </si>
  <si>
    <t xml:space="preserve">Andrews Moses Jebaraj · Salesperson · The Canadian Home Realty Inc., Brokerage</t>
  </si>
  <si>
    <t xml:space="preserve">andrews@theinvestorrealtor.ca · +1 (289) 697-3070 · @theinvestorrealtorandrews</t>
  </si>
</sst>
</file>

<file path=xl/styles.xml><?xml version="1.0" encoding="utf-8"?>
<styleSheet xmlns="http://schemas.openxmlformats.org/spreadsheetml/2006/main">
  <numFmts count="5">
    <numFmt numFmtId="164" formatCode="General"/>
    <numFmt numFmtId="165" formatCode="\$#,##0;&quot;($&quot;#,##0\);\-"/>
    <numFmt numFmtId="166" formatCode="0.0%"/>
    <numFmt numFmtId="167" formatCode="0.00%"/>
    <numFmt numFmtId="168" formatCode="0"/>
  </numFmts>
  <fonts count="16">
    <font>
      <sz val="11"/>
      <color theme="1"/>
      <name val="Calibri"/>
      <family val="2"/>
      <charset val="1"/>
    </font>
    <font>
      <sz val="10"/>
      <name val="Arial"/>
      <family val="0"/>
    </font>
    <font>
      <sz val="10"/>
      <name val="Arial"/>
      <family val="0"/>
    </font>
    <font>
      <sz val="10"/>
      <name val="Arial"/>
      <family val="0"/>
    </font>
    <font>
      <b val="true"/>
      <sz val="15"/>
      <color rgb="FFFFFFFF"/>
      <name val="Arial"/>
      <family val="0"/>
      <charset val="1"/>
    </font>
    <font>
      <i val="true"/>
      <sz val="10"/>
      <color rgb="FFB3893A"/>
      <name val="Arial"/>
      <family val="0"/>
      <charset val="1"/>
    </font>
    <font>
      <b val="true"/>
      <sz val="10"/>
      <name val="Arial"/>
      <family val="0"/>
      <charset val="1"/>
    </font>
    <font>
      <b val="true"/>
      <sz val="11"/>
      <color rgb="FFB3893A"/>
      <name val="Arial"/>
      <family val="0"/>
      <charset val="1"/>
    </font>
    <font>
      <sz val="11"/>
      <color rgb="FF000000"/>
      <name val="Arial"/>
      <family val="0"/>
      <charset val="1"/>
    </font>
    <font>
      <sz val="11"/>
      <color rgb="FF0000FF"/>
      <name val="Arial"/>
      <family val="0"/>
      <charset val="1"/>
    </font>
    <font>
      <b val="true"/>
      <sz val="11"/>
      <name val="Arial"/>
      <family val="0"/>
      <charset val="1"/>
    </font>
    <font>
      <i val="true"/>
      <sz val="10"/>
      <name val="Arial"/>
      <family val="0"/>
      <charset val="1"/>
    </font>
    <font>
      <sz val="8"/>
      <color rgb="FF777777"/>
      <name val="Arial"/>
      <family val="0"/>
      <charset val="1"/>
    </font>
    <font>
      <b val="true"/>
      <sz val="12"/>
      <color rgb="FFFFFFFF"/>
      <name val="Arial"/>
      <family val="0"/>
      <charset val="1"/>
    </font>
    <font>
      <i val="true"/>
      <sz val="9"/>
      <name val="Arial"/>
      <family val="0"/>
      <charset val="1"/>
    </font>
    <font>
      <sz val="9"/>
      <color rgb="FF777777"/>
      <name val="Arial"/>
      <family val="0"/>
      <charset val="1"/>
    </font>
  </fonts>
  <fills count="4">
    <fill>
      <patternFill patternType="none"/>
    </fill>
    <fill>
      <patternFill patternType="gray125"/>
    </fill>
    <fill>
      <patternFill patternType="solid">
        <fgColor rgb="FF10151C"/>
        <bgColor rgb="FF000000"/>
      </patternFill>
    </fill>
    <fill>
      <patternFill patternType="solid">
        <fgColor rgb="FFFFFF00"/>
        <bgColor rgb="FFFFFF00"/>
      </patternFill>
    </fill>
  </fills>
  <borders count="2">
    <border diagonalUp="false" diagonalDown="false">
      <left/>
      <right/>
      <top/>
      <bottom/>
      <diagonal/>
    </border>
    <border diagonalUp="false" diagonalDown="false">
      <left style="thin">
        <color rgb="FFB0ACA2"/>
      </left>
      <right style="thin">
        <color rgb="FFB0ACA2"/>
      </right>
      <top style="thin">
        <color rgb="FFB0ACA2"/>
      </top>
      <bottom style="thin">
        <color rgb="FFB0ACA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9" fillId="3" borderId="1" xfId="0" applyFont="true" applyBorder="true" applyAlignment="false" applyProtection="false">
      <alignment horizontal="general" vertical="bottom" textRotation="0" wrapText="false" indent="0" shrinkToFit="false"/>
      <protection locked="true" hidden="false"/>
    </xf>
    <xf numFmtId="165" fontId="0" fillId="0" borderId="1"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6" fontId="9" fillId="3" borderId="1" xfId="0" applyFont="true" applyBorder="true" applyAlignment="false" applyProtection="false">
      <alignment horizontal="general" vertical="bottom" textRotation="0" wrapText="false" indent="0" shrinkToFit="false"/>
      <protection locked="true" hidden="false"/>
    </xf>
    <xf numFmtId="167" fontId="9" fillId="3" borderId="1" xfId="0" applyFont="true" applyBorder="true" applyAlignment="false" applyProtection="false">
      <alignment horizontal="general" vertical="bottom" textRotation="0" wrapText="false" indent="0" shrinkToFit="false"/>
      <protection locked="true" hidden="false"/>
    </xf>
    <xf numFmtId="168" fontId="9" fillId="3"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false" applyProtection="false">
      <alignment horizontal="general" vertical="bottom" textRotation="0" wrapText="false" indent="0" shrinkToFit="false"/>
      <protection locked="true" hidden="false"/>
    </xf>
    <xf numFmtId="166" fontId="0" fillId="0" borderId="1" xfId="0" applyFont="fals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3" fillId="2"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right"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5" fontId="0" fillId="3" borderId="1" xfId="0" applyFont="false" applyBorder="true" applyAlignment="false" applyProtection="false">
      <alignment horizontal="general" vertical="bottom" textRotation="0" wrapText="false" indent="0" shrinkToFit="false"/>
      <protection locked="true" hidden="false"/>
    </xf>
    <xf numFmtId="165" fontId="10" fillId="0"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3" fillId="2" borderId="0" xfId="0" applyFont="true" applyBorder="false" applyAlignment="true" applyProtection="false">
      <alignment horizontal="general"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B3893A"/>
      <rgbColor rgb="FF800080"/>
      <rgbColor rgb="FF008080"/>
      <rgbColor rgb="FFB0ACA2"/>
      <rgbColor rgb="FF777777"/>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0151C"/>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2"/>
    <col collapsed="false" customWidth="true" hidden="false" outlineLevel="0" max="3" min="3" style="0" width="15"/>
    <col collapsed="false" customWidth="true" hidden="false" outlineLevel="0" max="4" min="4" style="0" width="3"/>
    <col collapsed="false" customWidth="true" hidden="false" outlineLevel="0" max="5" min="5" style="0" width="36"/>
    <col collapsed="false" customWidth="true" hidden="false" outlineLevel="0" max="6" min="6" style="0" width="17"/>
    <col collapsed="false" customWidth="true" hidden="false" outlineLevel="0" max="7" min="7" style="0" width="2"/>
  </cols>
  <sheetData>
    <row r="2" customFormat="false" ht="30" hidden="false" customHeight="true" outlineLevel="0" collapsed="false">
      <c r="B2" s="1" t="s">
        <v>0</v>
      </c>
      <c r="C2" s="1"/>
      <c r="D2" s="1"/>
      <c r="E2" s="1"/>
      <c r="F2" s="1"/>
    </row>
    <row r="3" customFormat="false" ht="15" hidden="false" customHeight="false" outlineLevel="0" collapsed="false">
      <c r="B3" s="2" t="s">
        <v>1</v>
      </c>
      <c r="C3" s="2"/>
      <c r="D3" s="2"/>
      <c r="E3" s="2"/>
      <c r="F3" s="2"/>
    </row>
    <row r="5" customFormat="false" ht="15" hidden="false" customHeight="false" outlineLevel="0" collapsed="false">
      <c r="B5" s="3" t="s">
        <v>2</v>
      </c>
      <c r="C5" s="3"/>
      <c r="D5" s="3"/>
      <c r="E5" s="3"/>
      <c r="F5" s="3"/>
    </row>
    <row r="7" customFormat="false" ht="15" hidden="false" customHeight="false" outlineLevel="0" collapsed="false">
      <c r="B7" s="4" t="s">
        <v>3</v>
      </c>
      <c r="E7" s="4" t="s">
        <v>4</v>
      </c>
    </row>
    <row r="8" customFormat="false" ht="15" hidden="false" customHeight="false" outlineLevel="0" collapsed="false">
      <c r="B8" s="5" t="s">
        <v>5</v>
      </c>
      <c r="C8" s="6" t="n">
        <v>625000</v>
      </c>
      <c r="E8" s="5" t="s">
        <v>6</v>
      </c>
      <c r="F8" s="7" t="n">
        <f aca="false">SUM($C$22:$C$26)</f>
        <v>3850</v>
      </c>
    </row>
    <row r="9" customFormat="false" ht="15" hidden="false" customHeight="false" outlineLevel="0" collapsed="false">
      <c r="B9" s="5" t="s">
        <v>7</v>
      </c>
      <c r="C9" s="6" t="n">
        <v>600000</v>
      </c>
      <c r="E9" s="5" t="s">
        <v>8</v>
      </c>
      <c r="F9" s="7" t="n">
        <f aca="false">-SUM($C$22:$C$26)*$C$27</f>
        <v>-154</v>
      </c>
    </row>
    <row r="10" customFormat="false" ht="15" hidden="false" customHeight="false" outlineLevel="0" collapsed="false">
      <c r="B10" s="5" t="s">
        <v>9</v>
      </c>
      <c r="C10" s="6" t="n">
        <v>60000</v>
      </c>
      <c r="E10" s="5" t="s">
        <v>10</v>
      </c>
      <c r="F10" s="7" t="n">
        <f aca="false">SUM($C$22:$C$26)*(1-$C$27)</f>
        <v>3696</v>
      </c>
    </row>
    <row r="11" customFormat="false" ht="15" hidden="false" customHeight="false" outlineLevel="0" collapsed="false">
      <c r="B11" s="5" t="s">
        <v>11</v>
      </c>
      <c r="C11" s="6" t="n">
        <v>2500</v>
      </c>
      <c r="E11" s="5" t="s">
        <v>12</v>
      </c>
      <c r="F11" s="7" t="n">
        <f aca="false">-SUM($C$30:$C$38)</f>
        <v>-910</v>
      </c>
    </row>
    <row r="12" customFormat="false" ht="15" hidden="false" customHeight="false" outlineLevel="0" collapsed="false">
      <c r="B12" s="5" t="s">
        <v>13</v>
      </c>
      <c r="C12" s="6" t="n">
        <v>1000</v>
      </c>
      <c r="E12" s="5" t="s">
        <v>14</v>
      </c>
      <c r="F12" s="7" t="n">
        <f aca="false">SUM($C$22:$C$26)*(1-$C$27)-SUM($C$30:$C$38)</f>
        <v>2786</v>
      </c>
    </row>
    <row r="13" customFormat="false" ht="15" hidden="false" customHeight="false" outlineLevel="0" collapsed="false">
      <c r="B13" s="5" t="s">
        <v>15</v>
      </c>
      <c r="C13" s="6" t="n">
        <v>750000</v>
      </c>
      <c r="E13" s="5" t="s">
        <v>16</v>
      </c>
      <c r="F13" s="7" t="n">
        <f aca="false">PMT($C$18/12,$C$19*12,$C$9*(1-$C$17))</f>
        <v>-2432.08948716423</v>
      </c>
    </row>
    <row r="14" customFormat="false" ht="15" hidden="false" customHeight="false" outlineLevel="0" collapsed="false">
      <c r="B14" s="5" t="s">
        <v>17</v>
      </c>
      <c r="C14" s="7" t="n">
        <f aca="false">0.005*MIN($C$9,55000)+0.01*MAX(0,MIN($C$9,250000)-55000)+0.015*MAX(0,MIN($C$9,400000)-250000)+0.02*MAX(0,MIN($C$9,2000000)-400000)+0.025*MAX(0,$C$9-2000000)</f>
        <v>8475</v>
      </c>
      <c r="E14" s="8" t="s">
        <v>18</v>
      </c>
      <c r="F14" s="7" t="n">
        <f aca="false">$F$12+$F$13</f>
        <v>353.910512835773</v>
      </c>
    </row>
    <row r="16" customFormat="false" ht="15" hidden="false" customHeight="false" outlineLevel="0" collapsed="false">
      <c r="B16" s="4" t="s">
        <v>19</v>
      </c>
      <c r="E16" s="4" t="s">
        <v>20</v>
      </c>
    </row>
    <row r="17" customFormat="false" ht="15" hidden="false" customHeight="false" outlineLevel="0" collapsed="false">
      <c r="B17" s="5" t="s">
        <v>21</v>
      </c>
      <c r="C17" s="9" t="n">
        <v>0.2</v>
      </c>
      <c r="E17" s="5" t="s">
        <v>22</v>
      </c>
      <c r="F17" s="7" t="n">
        <f aca="false">$C$9+$C$10+($C$14+$C$11+$C$12)</f>
        <v>671975</v>
      </c>
    </row>
    <row r="18" customFormat="false" ht="15" hidden="false" customHeight="false" outlineLevel="0" collapsed="false">
      <c r="B18" s="5" t="s">
        <v>23</v>
      </c>
      <c r="C18" s="10" t="n">
        <v>0.045</v>
      </c>
      <c r="E18" s="5" t="s">
        <v>24</v>
      </c>
      <c r="F18" s="7" t="n">
        <f aca="false">$C$8-$C$9</f>
        <v>25000</v>
      </c>
    </row>
    <row r="19" customFormat="false" ht="15" hidden="false" customHeight="false" outlineLevel="0" collapsed="false">
      <c r="B19" s="5" t="s">
        <v>25</v>
      </c>
      <c r="C19" s="11" t="n">
        <v>30</v>
      </c>
      <c r="E19" s="5" t="s">
        <v>26</v>
      </c>
      <c r="F19" s="7" t="n">
        <f aca="false">$C$13-($C$9+$C$10+($C$14+$C$11+$C$12))</f>
        <v>78025</v>
      </c>
    </row>
    <row r="20" customFormat="false" ht="15" hidden="false" customHeight="false" outlineLevel="0" collapsed="false">
      <c r="E20" s="5" t="s">
        <v>27</v>
      </c>
      <c r="F20" s="7" t="n">
        <f aca="false">$C$9*$C$17+$C$10+($C$14+$C$11+$C$12)</f>
        <v>191975</v>
      </c>
    </row>
    <row r="21" customFormat="false" ht="15" hidden="false" customHeight="false" outlineLevel="0" collapsed="false">
      <c r="B21" s="4" t="s">
        <v>28</v>
      </c>
      <c r="E21" s="5" t="s">
        <v>29</v>
      </c>
      <c r="F21" s="7" t="n">
        <f aca="false">$F$14*12</f>
        <v>4246.92615402927</v>
      </c>
    </row>
    <row r="22" customFormat="false" ht="15" hidden="false" customHeight="false" outlineLevel="0" collapsed="false">
      <c r="B22" s="12" t="s">
        <v>30</v>
      </c>
      <c r="C22" s="6" t="n">
        <v>2200</v>
      </c>
      <c r="E22" s="5" t="s">
        <v>31</v>
      </c>
      <c r="F22" s="13" t="n">
        <f aca="false">IFERROR($F$12*12/($C$9+$C$10+($C$14+$C$11+$C$12)),0)</f>
        <v>0.0497518508873098</v>
      </c>
    </row>
    <row r="23" customFormat="false" ht="15" hidden="false" customHeight="false" outlineLevel="0" collapsed="false">
      <c r="B23" s="12" t="s">
        <v>32</v>
      </c>
      <c r="C23" s="6" t="n">
        <v>1650</v>
      </c>
      <c r="E23" s="5" t="s">
        <v>33</v>
      </c>
      <c r="F23" s="13" t="n">
        <f aca="false">IFERROR($F$14*12/($C$9*$C$17+$C$10+($C$14+$C$11+$C$12)),0)</f>
        <v>0.0221222875584283</v>
      </c>
    </row>
    <row r="24" customFormat="false" ht="15" hidden="false" customHeight="false" outlineLevel="0" collapsed="false">
      <c r="B24" s="12" t="s">
        <v>34</v>
      </c>
      <c r="C24" s="6" t="n">
        <v>0</v>
      </c>
    </row>
    <row r="25" customFormat="false" ht="15" hidden="false" customHeight="false" outlineLevel="0" collapsed="false">
      <c r="B25" s="12" t="s">
        <v>35</v>
      </c>
      <c r="C25" s="6" t="n">
        <v>0</v>
      </c>
      <c r="E25" s="4" t="s">
        <v>36</v>
      </c>
    </row>
    <row r="26" customFormat="false" ht="15" hidden="false" customHeight="false" outlineLevel="0" collapsed="false">
      <c r="B26" s="12" t="s">
        <v>37</v>
      </c>
      <c r="C26" s="6" t="n">
        <v>0</v>
      </c>
      <c r="E26" s="5" t="s">
        <v>38</v>
      </c>
      <c r="F26" s="14" t="str">
        <f aca="false">IF($C$8-$C$9&gt;0,"YES — "&amp;TEXT($C$8-$C$9,"$#,##0")&amp;" under list","NO — at/above list")</f>
        <v>YES — $25,000 under list</v>
      </c>
    </row>
    <row r="27" customFormat="false" ht="15" hidden="false" customHeight="false" outlineLevel="0" collapsed="false">
      <c r="B27" s="5" t="s">
        <v>39</v>
      </c>
      <c r="C27" s="9" t="n">
        <v>0.04</v>
      </c>
      <c r="E27" s="5" t="s">
        <v>40</v>
      </c>
      <c r="F27" s="14" t="str">
        <f aca="false">IF($C$13-($C$9+$C$10+($C$14+$C$11+$C$12))&gt;0,"YES — "&amp;TEXT($C$13-($C$9+$C$10+($C$14+$C$11+$C$12)),"$#,##0")&amp;" created","NO — negative equity")</f>
        <v>YES — $78,025 created</v>
      </c>
    </row>
    <row r="28" customFormat="false" ht="15" hidden="false" customHeight="false" outlineLevel="0" collapsed="false">
      <c r="E28" s="5" t="s">
        <v>41</v>
      </c>
      <c r="F28" s="14" t="str">
        <f aca="false">IF($F$14&gt;0,"YES — "&amp;TEXT($F$14,"$#,##0")&amp;"/month","NO — feeds "&amp;TEXT(-$F$14,"$#,##0")&amp;"/month")</f>
        <v>YES — $354/month</v>
      </c>
    </row>
    <row r="29" customFormat="false" ht="15" hidden="false" customHeight="false" outlineLevel="0" collapsed="false">
      <c r="B29" s="4" t="s">
        <v>42</v>
      </c>
      <c r="E29" s="4" t="s">
        <v>43</v>
      </c>
    </row>
    <row r="30" customFormat="false" ht="15" hidden="false" customHeight="true" outlineLevel="0" collapsed="false">
      <c r="B30" s="5" t="s">
        <v>44</v>
      </c>
      <c r="C30" s="6" t="n">
        <v>380</v>
      </c>
      <c r="E30" s="15" t="s">
        <v>45</v>
      </c>
      <c r="F30" s="15"/>
    </row>
    <row r="31" customFormat="false" ht="15" hidden="false" customHeight="false" outlineLevel="0" collapsed="false">
      <c r="B31" s="5" t="s">
        <v>46</v>
      </c>
      <c r="C31" s="6" t="n">
        <v>160</v>
      </c>
      <c r="E31" s="15"/>
      <c r="F31" s="15"/>
    </row>
    <row r="32" customFormat="false" ht="15" hidden="false" customHeight="false" outlineLevel="0" collapsed="false">
      <c r="B32" s="5" t="s">
        <v>47</v>
      </c>
      <c r="C32" s="6" t="n">
        <v>0</v>
      </c>
      <c r="E32" s="15"/>
      <c r="F32" s="15"/>
    </row>
    <row r="33" customFormat="false" ht="15" hidden="false" customHeight="false" outlineLevel="0" collapsed="false">
      <c r="B33" s="5" t="s">
        <v>48</v>
      </c>
      <c r="C33" s="6" t="n">
        <v>0</v>
      </c>
    </row>
    <row r="34" customFormat="false" ht="15" hidden="false" customHeight="false" outlineLevel="0" collapsed="false">
      <c r="B34" s="5" t="s">
        <v>49</v>
      </c>
      <c r="C34" s="6" t="n">
        <v>100</v>
      </c>
    </row>
    <row r="35" customFormat="false" ht="15" hidden="false" customHeight="false" outlineLevel="0" collapsed="false">
      <c r="B35" s="5" t="s">
        <v>50</v>
      </c>
      <c r="C35" s="6" t="n">
        <v>0</v>
      </c>
    </row>
    <row r="36" customFormat="false" ht="15" hidden="false" customHeight="false" outlineLevel="0" collapsed="false">
      <c r="B36" s="5" t="s">
        <v>51</v>
      </c>
      <c r="C36" s="6" t="n">
        <v>0</v>
      </c>
    </row>
    <row r="37" customFormat="false" ht="15" hidden="false" customHeight="false" outlineLevel="0" collapsed="false">
      <c r="B37" s="5" t="s">
        <v>52</v>
      </c>
      <c r="C37" s="6" t="n">
        <v>190</v>
      </c>
    </row>
    <row r="38" customFormat="false" ht="15" hidden="false" customHeight="false" outlineLevel="0" collapsed="false">
      <c r="B38" s="5" t="s">
        <v>53</v>
      </c>
      <c r="C38" s="6" t="n">
        <v>80</v>
      </c>
    </row>
    <row r="40" customFormat="false" ht="15" hidden="false" customHeight="true" outlineLevel="0" collapsed="false">
      <c r="B40" s="16" t="s">
        <v>54</v>
      </c>
      <c r="C40" s="16"/>
      <c r="D40" s="16"/>
      <c r="E40" s="16"/>
      <c r="F40" s="16"/>
    </row>
    <row r="41" customFormat="false" ht="15" hidden="false" customHeight="false" outlineLevel="0" collapsed="false">
      <c r="B41" s="16"/>
      <c r="C41" s="16"/>
      <c r="D41" s="16"/>
      <c r="E41" s="16"/>
      <c r="F41" s="16"/>
    </row>
  </sheetData>
  <mergeCells count="5">
    <mergeCell ref="B2:F2"/>
    <mergeCell ref="B3:F3"/>
    <mergeCell ref="B5:F5"/>
    <mergeCell ref="E30:F32"/>
    <mergeCell ref="B40:F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L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12" min="3" style="0" width="12"/>
  </cols>
  <sheetData>
    <row r="2" customFormat="false" ht="25.5" hidden="false" customHeight="true" outlineLevel="0" collapsed="false">
      <c r="B2" s="17" t="s">
        <v>55</v>
      </c>
      <c r="C2" s="17"/>
      <c r="D2" s="17"/>
      <c r="E2" s="17"/>
      <c r="F2" s="17"/>
      <c r="G2" s="17"/>
      <c r="H2" s="17"/>
      <c r="I2" s="17"/>
      <c r="J2" s="17"/>
      <c r="K2" s="17"/>
      <c r="L2" s="17"/>
    </row>
    <row r="4" customFormat="false" ht="15" hidden="false" customHeight="false" outlineLevel="0" collapsed="false">
      <c r="B4" s="18" t="s">
        <v>56</v>
      </c>
    </row>
    <row r="5" customFormat="false" ht="15" hidden="false" customHeight="false" outlineLevel="0" collapsed="false">
      <c r="B5" s="5" t="s">
        <v>57</v>
      </c>
      <c r="C5" s="9" t="n">
        <v>0.02</v>
      </c>
    </row>
    <row r="6" customFormat="false" ht="15" hidden="false" customHeight="false" outlineLevel="0" collapsed="false">
      <c r="B6" s="5" t="s">
        <v>58</v>
      </c>
      <c r="C6" s="9" t="n">
        <v>0.02</v>
      </c>
    </row>
    <row r="7" customFormat="false" ht="15" hidden="false" customHeight="false" outlineLevel="0" collapsed="false">
      <c r="B7" s="5" t="s">
        <v>59</v>
      </c>
      <c r="C7" s="9" t="n">
        <v>0.02</v>
      </c>
    </row>
    <row r="9" customFormat="false" ht="15" hidden="false" customHeight="false" outlineLevel="0" collapsed="false">
      <c r="B9" s="8" t="s">
        <v>60</v>
      </c>
      <c r="C9" s="19" t="s">
        <v>61</v>
      </c>
      <c r="D9" s="19" t="s">
        <v>62</v>
      </c>
      <c r="E9" s="19" t="s">
        <v>63</v>
      </c>
      <c r="F9" s="19" t="s">
        <v>64</v>
      </c>
      <c r="G9" s="19" t="s">
        <v>65</v>
      </c>
      <c r="H9" s="19" t="s">
        <v>66</v>
      </c>
      <c r="I9" s="19" t="s">
        <v>67</v>
      </c>
      <c r="J9" s="19" t="s">
        <v>68</v>
      </c>
      <c r="K9" s="19" t="s">
        <v>69</v>
      </c>
      <c r="L9" s="19" t="s">
        <v>70</v>
      </c>
    </row>
    <row r="10" customFormat="false" ht="15" hidden="false" customHeight="false" outlineLevel="0" collapsed="false">
      <c r="B10" s="5" t="s">
        <v>71</v>
      </c>
      <c r="C10" s="7" t="n">
        <f aca="false">'Deal Analyzer'!$F$10*12*(1+$C$5)^0</f>
        <v>44352</v>
      </c>
      <c r="D10" s="7" t="n">
        <f aca="false">'Deal Analyzer'!$F$10*12*(1+$C$5)^1</f>
        <v>45239.04</v>
      </c>
      <c r="E10" s="7" t="n">
        <f aca="false">'Deal Analyzer'!$F$10*12*(1+$C$5)^2</f>
        <v>46143.8208</v>
      </c>
      <c r="F10" s="7" t="n">
        <f aca="false">'Deal Analyzer'!$F$10*12*(1+$C$5)^3</f>
        <v>47066.697216</v>
      </c>
      <c r="G10" s="7" t="n">
        <f aca="false">'Deal Analyzer'!$F$10*12*(1+$C$5)^4</f>
        <v>48008.03116032</v>
      </c>
      <c r="H10" s="7" t="n">
        <f aca="false">'Deal Analyzer'!$F$10*12*(1+$C$5)^5</f>
        <v>48968.1917835264</v>
      </c>
      <c r="I10" s="7" t="n">
        <f aca="false">'Deal Analyzer'!$F$10*12*(1+$C$5)^6</f>
        <v>49947.5556191969</v>
      </c>
      <c r="J10" s="7" t="n">
        <f aca="false">'Deal Analyzer'!$F$10*12*(1+$C$5)^7</f>
        <v>50946.5067315809</v>
      </c>
      <c r="K10" s="7" t="n">
        <f aca="false">'Deal Analyzer'!$F$10*12*(1+$C$5)^8</f>
        <v>51965.4368662125</v>
      </c>
      <c r="L10" s="7" t="n">
        <f aca="false">'Deal Analyzer'!$F$10*12*(1+$C$5)^9</f>
        <v>53004.7456035367</v>
      </c>
    </row>
    <row r="11" customFormat="false" ht="15" hidden="false" customHeight="false" outlineLevel="0" collapsed="false">
      <c r="B11" s="5" t="s">
        <v>72</v>
      </c>
      <c r="C11" s="7" t="n">
        <f aca="false">'Deal Analyzer'!$F$11*12*(1+$C$6)^0</f>
        <v>-10920</v>
      </c>
      <c r="D11" s="7" t="n">
        <f aca="false">'Deal Analyzer'!$F$11*12*(1+$C$6)^1</f>
        <v>-11138.4</v>
      </c>
      <c r="E11" s="7" t="n">
        <f aca="false">'Deal Analyzer'!$F$11*12*(1+$C$6)^2</f>
        <v>-11361.168</v>
      </c>
      <c r="F11" s="7" t="n">
        <f aca="false">'Deal Analyzer'!$F$11*12*(1+$C$6)^3</f>
        <v>-11588.39136</v>
      </c>
      <c r="G11" s="7" t="n">
        <f aca="false">'Deal Analyzer'!$F$11*12*(1+$C$6)^4</f>
        <v>-11820.1591872</v>
      </c>
      <c r="H11" s="7" t="n">
        <f aca="false">'Deal Analyzer'!$F$11*12*(1+$C$6)^5</f>
        <v>-12056.562370944</v>
      </c>
      <c r="I11" s="7" t="n">
        <f aca="false">'Deal Analyzer'!$F$11*12*(1+$C$6)^6</f>
        <v>-12297.6936183629</v>
      </c>
      <c r="J11" s="7" t="n">
        <f aca="false">'Deal Analyzer'!$F$11*12*(1+$C$6)^7</f>
        <v>-12543.6474907301</v>
      </c>
      <c r="K11" s="7" t="n">
        <f aca="false">'Deal Analyzer'!$F$11*12*(1+$C$6)^8</f>
        <v>-12794.5204405447</v>
      </c>
      <c r="L11" s="7" t="n">
        <f aca="false">'Deal Analyzer'!$F$11*12*(1+$C$6)^9</f>
        <v>-13050.4108493556</v>
      </c>
    </row>
    <row r="12" customFormat="false" ht="15" hidden="false" customHeight="false" outlineLevel="0" collapsed="false">
      <c r="B12" s="5" t="s">
        <v>73</v>
      </c>
      <c r="C12" s="7" t="n">
        <f aca="false">C10+C11</f>
        <v>33432</v>
      </c>
      <c r="D12" s="7" t="n">
        <f aca="false">D10+D11</f>
        <v>34100.64</v>
      </c>
      <c r="E12" s="7" t="n">
        <f aca="false">E10+E11</f>
        <v>34782.6528</v>
      </c>
      <c r="F12" s="7" t="n">
        <f aca="false">F10+F11</f>
        <v>35478.305856</v>
      </c>
      <c r="G12" s="7" t="n">
        <f aca="false">G10+G11</f>
        <v>36187.87197312</v>
      </c>
      <c r="H12" s="7" t="n">
        <f aca="false">H10+H11</f>
        <v>36911.6294125824</v>
      </c>
      <c r="I12" s="7" t="n">
        <f aca="false">I10+I11</f>
        <v>37649.8620008341</v>
      </c>
      <c r="J12" s="7" t="n">
        <f aca="false">J10+J11</f>
        <v>38402.8592408507</v>
      </c>
      <c r="K12" s="7" t="n">
        <f aca="false">K10+K11</f>
        <v>39170.9164256678</v>
      </c>
      <c r="L12" s="7" t="n">
        <f aca="false">L10+L11</f>
        <v>39954.3347541811</v>
      </c>
    </row>
    <row r="13" customFormat="false" ht="15" hidden="false" customHeight="false" outlineLevel="0" collapsed="false">
      <c r="B13" s="5" t="s">
        <v>74</v>
      </c>
      <c r="C13" s="7" t="n">
        <f aca="false">'Deal Analyzer'!$F$13*12</f>
        <v>-29185.0738459707</v>
      </c>
      <c r="D13" s="7" t="n">
        <f aca="false">'Deal Analyzer'!$F$13*12</f>
        <v>-29185.0738459707</v>
      </c>
      <c r="E13" s="7" t="n">
        <f aca="false">'Deal Analyzer'!$F$13*12</f>
        <v>-29185.0738459707</v>
      </c>
      <c r="F13" s="7" t="n">
        <f aca="false">'Deal Analyzer'!$F$13*12</f>
        <v>-29185.0738459707</v>
      </c>
      <c r="G13" s="7" t="n">
        <f aca="false">'Deal Analyzer'!$F$13*12</f>
        <v>-29185.0738459707</v>
      </c>
      <c r="H13" s="7" t="n">
        <f aca="false">'Deal Analyzer'!$F$13*12</f>
        <v>-29185.0738459707</v>
      </c>
      <c r="I13" s="7" t="n">
        <f aca="false">'Deal Analyzer'!$F$13*12</f>
        <v>-29185.0738459707</v>
      </c>
      <c r="J13" s="7" t="n">
        <f aca="false">'Deal Analyzer'!$F$13*12</f>
        <v>-29185.0738459707</v>
      </c>
      <c r="K13" s="7" t="n">
        <f aca="false">'Deal Analyzer'!$F$13*12</f>
        <v>-29185.0738459707</v>
      </c>
      <c r="L13" s="7" t="n">
        <f aca="false">'Deal Analyzer'!$F$13*12</f>
        <v>-29185.0738459707</v>
      </c>
    </row>
    <row r="14" customFormat="false" ht="15" hidden="false" customHeight="false" outlineLevel="0" collapsed="false">
      <c r="B14" s="5" t="s">
        <v>75</v>
      </c>
      <c r="C14" s="7" t="n">
        <f aca="false">C12+C13</f>
        <v>4246.92615402927</v>
      </c>
      <c r="D14" s="7" t="n">
        <f aca="false">D12+D13</f>
        <v>4915.56615402927</v>
      </c>
      <c r="E14" s="7" t="n">
        <f aca="false">E12+E13</f>
        <v>5597.57895402928</v>
      </c>
      <c r="F14" s="7" t="n">
        <f aca="false">F12+F13</f>
        <v>6293.23201002928</v>
      </c>
      <c r="G14" s="7" t="n">
        <f aca="false">G12+G13</f>
        <v>7002.79812714928</v>
      </c>
      <c r="H14" s="7" t="n">
        <f aca="false">H12+H13</f>
        <v>7726.55556661168</v>
      </c>
      <c r="I14" s="7" t="n">
        <f aca="false">I12+I13</f>
        <v>8464.78815486332</v>
      </c>
      <c r="J14" s="7" t="n">
        <f aca="false">J12+J13</f>
        <v>9217.78539488</v>
      </c>
      <c r="K14" s="7" t="n">
        <f aca="false">K12+K13</f>
        <v>9985.84257969702</v>
      </c>
      <c r="L14" s="7" t="n">
        <f aca="false">L12+L13</f>
        <v>10769.2609082104</v>
      </c>
    </row>
    <row r="15" customFormat="false" ht="15" hidden="false" customHeight="false" outlineLevel="0" collapsed="false">
      <c r="B15" s="5" t="s">
        <v>76</v>
      </c>
      <c r="C15" s="7" t="n">
        <f aca="false">'Deal Analyzer'!$C$13*((1+$C$7)^1-1)</f>
        <v>15000</v>
      </c>
      <c r="D15" s="7" t="n">
        <f aca="false">'Deal Analyzer'!$C$13*((1+$C$7)^2-1)</f>
        <v>30300</v>
      </c>
      <c r="E15" s="7" t="n">
        <f aca="false">'Deal Analyzer'!$C$13*((1+$C$7)^3-1)</f>
        <v>45906.0000000001</v>
      </c>
      <c r="F15" s="7" t="n">
        <f aca="false">'Deal Analyzer'!$C$13*((1+$C$7)^4-1)</f>
        <v>61824.12</v>
      </c>
      <c r="G15" s="7" t="n">
        <f aca="false">'Deal Analyzer'!$C$13*((1+$C$7)^5-1)</f>
        <v>78060.6024</v>
      </c>
      <c r="H15" s="7" t="n">
        <f aca="false">'Deal Analyzer'!$C$13*((1+$C$7)^6-1)</f>
        <v>94621.8144480001</v>
      </c>
      <c r="I15" s="7" t="n">
        <f aca="false">'Deal Analyzer'!$C$13*((1+$C$7)^7-1)</f>
        <v>111514.25073696</v>
      </c>
      <c r="J15" s="7" t="n">
        <f aca="false">'Deal Analyzer'!$C$13*((1+$C$7)^8-1)</f>
        <v>128744.535751699</v>
      </c>
      <c r="K15" s="7" t="n">
        <f aca="false">'Deal Analyzer'!$C$13*((1+$C$7)^9-1)</f>
        <v>146319.426466733</v>
      </c>
      <c r="L15" s="7" t="n">
        <f aca="false">'Deal Analyzer'!$C$13*((1+$C$7)^10-1)</f>
        <v>164245.814996068</v>
      </c>
    </row>
    <row r="16" customFormat="false" ht="15" hidden="false" customHeight="false" outlineLevel="0" collapsed="false">
      <c r="B16" s="5" t="s">
        <v>77</v>
      </c>
      <c r="C16" s="7" t="n">
        <f aca="false">-CUMPRINC('Deal Analyzer'!$C$18/12,'Deal Analyzer'!$C$19*12,'Deal Analyzer'!$C$9*(1-'Deal Analyzer'!$C$17),1,1*12,0)</f>
        <v>7743.48812008565</v>
      </c>
      <c r="D16" s="7" t="n">
        <f aca="false">-CUMPRINC('Deal Analyzer'!$C$18/12,'Deal Analyzer'!$C$19*12,'Deal Analyzer'!$C$9*(1-'Deal Analyzer'!$C$17),1,2*12,0)</f>
        <v>15842.7107296119</v>
      </c>
      <c r="E16" s="7" t="n">
        <f aca="false">-CUMPRINC('Deal Analyzer'!$C$18/12,'Deal Analyzer'!$C$19*12,'Deal Analyzer'!$C$9*(1-'Deal Analyzer'!$C$17),1,3*12,0)</f>
        <v>24314.0102087846</v>
      </c>
      <c r="F16" s="7" t="n">
        <f aca="false">-CUMPRINC('Deal Analyzer'!$C$18/12,'Deal Analyzer'!$C$19*12,'Deal Analyzer'!$C$9*(1-'Deal Analyzer'!$C$17),1,4*12,0)</f>
        <v>33174.4797038969</v>
      </c>
      <c r="G16" s="7" t="n">
        <f aca="false">-CUMPRINC('Deal Analyzer'!$C$18/12,'Deal Analyzer'!$C$19*12,'Deal Analyzer'!$C$9*(1-'Deal Analyzer'!$C$17),1,5*12,0)</f>
        <v>42441.9976173922</v>
      </c>
      <c r="H16" s="7" t="n">
        <f aca="false">-CUMPRINC('Deal Analyzer'!$C$18/12,'Deal Analyzer'!$C$19*12,'Deal Analyzer'!$C$9*(1-'Deal Analyzer'!$C$17),1,6*12,0)</f>
        <v>52135.263682394</v>
      </c>
      <c r="I16" s="7" t="n">
        <f aca="false">-CUMPRINC('Deal Analyzer'!$C$18/12,'Deal Analyzer'!$C$19*12,'Deal Analyzer'!$C$9*(1-'Deal Analyzer'!$C$17),1,7*12,0)</f>
        <v>62273.8366944938</v>
      </c>
      <c r="J16" s="7" t="n">
        <f aca="false">-CUMPRINC('Deal Analyzer'!$C$18/12,'Deal Analyzer'!$C$19*12,'Deal Analyzer'!$C$9*(1-'Deal Analyzer'!$C$17),1,8*12,0)</f>
        <v>72878.1739769307</v>
      </c>
      <c r="K16" s="7" t="n">
        <f aca="false">-CUMPRINC('Deal Analyzer'!$C$18/12,'Deal Analyzer'!$C$19*12,'Deal Analyzer'!$C$9*(1-'Deal Analyzer'!$C$17),1,9*12,0)</f>
        <v>83969.6726587942</v>
      </c>
      <c r="L16" s="7" t="n">
        <f aca="false">-CUMPRINC('Deal Analyzer'!$C$18/12,'Deal Analyzer'!$C$19*12,'Deal Analyzer'!$C$9*(1-'Deal Analyzer'!$C$17),1,10*12,0)</f>
        <v>95570.7128495405</v>
      </c>
    </row>
    <row r="17" customFormat="false" ht="15" hidden="false" customHeight="false" outlineLevel="0" collapsed="false">
      <c r="B17" s="5" t="s">
        <v>78</v>
      </c>
      <c r="C17" s="7" t="n">
        <f aca="false">C14</f>
        <v>4246.92615402927</v>
      </c>
      <c r="D17" s="7" t="n">
        <f aca="false">C17+D14</f>
        <v>9162.49230805854</v>
      </c>
      <c r="E17" s="7" t="n">
        <f aca="false">D17+E14</f>
        <v>14760.0712620878</v>
      </c>
      <c r="F17" s="7" t="n">
        <f aca="false">E17+F14</f>
        <v>21053.3032721171</v>
      </c>
      <c r="G17" s="7" t="n">
        <f aca="false">F17+G14</f>
        <v>28056.1013992664</v>
      </c>
      <c r="H17" s="7" t="n">
        <f aca="false">G17+H14</f>
        <v>35782.6569658781</v>
      </c>
      <c r="I17" s="7" t="n">
        <f aca="false">H17+I14</f>
        <v>44247.4451207414</v>
      </c>
      <c r="J17" s="7" t="n">
        <f aca="false">I17+J14</f>
        <v>53465.2305156214</v>
      </c>
      <c r="K17" s="7" t="n">
        <f aca="false">J17+K14</f>
        <v>63451.0730953184</v>
      </c>
      <c r="L17" s="7" t="n">
        <f aca="false">K17+L14</f>
        <v>74220.3340035288</v>
      </c>
    </row>
    <row r="18" customFormat="false" ht="15" hidden="false" customHeight="false" outlineLevel="0" collapsed="false">
      <c r="B18" s="8" t="s">
        <v>79</v>
      </c>
      <c r="C18" s="7" t="n">
        <f aca="false">C17+C15+C16</f>
        <v>26990.4142741149</v>
      </c>
      <c r="D18" s="7" t="n">
        <f aca="false">D17+D15+D16</f>
        <v>55305.2030376705</v>
      </c>
      <c r="E18" s="7" t="n">
        <f aca="false">E17+E15+E16</f>
        <v>84980.0814708725</v>
      </c>
      <c r="F18" s="7" t="n">
        <f aca="false">F17+F15+F16</f>
        <v>116051.902976014</v>
      </c>
      <c r="G18" s="7" t="n">
        <f aca="false">G17+G15+G16</f>
        <v>148558.701416659</v>
      </c>
      <c r="H18" s="7" t="n">
        <f aca="false">H17+H15+H16</f>
        <v>182539.735096272</v>
      </c>
      <c r="I18" s="7" t="n">
        <f aca="false">I17+I15+I16</f>
        <v>218035.532552195</v>
      </c>
      <c r="J18" s="7" t="n">
        <f aca="false">J17+J15+J16</f>
        <v>255087.940244251</v>
      </c>
      <c r="K18" s="7" t="n">
        <f aca="false">K17+K15+K16</f>
        <v>293740.172220846</v>
      </c>
      <c r="L18" s="7" t="n">
        <f aca="false">L17+L15+L16</f>
        <v>334036.861849137</v>
      </c>
    </row>
    <row r="19" customFormat="false" ht="15" hidden="false" customHeight="false" outlineLevel="0" collapsed="false">
      <c r="B19" s="8" t="s">
        <v>80</v>
      </c>
      <c r="C19" s="13" t="n">
        <f aca="false">IFERROR(C18/'Deal Analyzer'!$F$20,0)</f>
        <v>0.140593380774137</v>
      </c>
      <c r="D19" s="13" t="n">
        <f aca="false">IFERROR(D18/'Deal Analyzer'!$F$20,0)</f>
        <v>0.288085443613337</v>
      </c>
      <c r="E19" s="13" t="n">
        <f aca="false">IFERROR(E18/'Deal Analyzer'!$F$20,0)</f>
        <v>0.442662229305235</v>
      </c>
      <c r="F19" s="13" t="n">
        <f aca="false">IFERROR(F18/'Deal Analyzer'!$F$20,0)</f>
        <v>0.604515707649507</v>
      </c>
      <c r="G19" s="13" t="n">
        <f aca="false">IFERROR(G18/'Deal Analyzer'!$F$20,0)</f>
        <v>0.773843997482269</v>
      </c>
      <c r="H19" s="13" t="n">
        <f aca="false">IFERROR(H18/'Deal Analyzer'!$F$20,0)</f>
        <v>0.950851595761282</v>
      </c>
      <c r="I19" s="13" t="n">
        <f aca="false">IFERROR(I18/'Deal Analyzer'!$F$20,0)</f>
        <v>1.13574961610728</v>
      </c>
      <c r="J19" s="13" t="n">
        <f aca="false">IFERROR(J18/'Deal Analyzer'!$F$20,0)</f>
        <v>1.32875603721449</v>
      </c>
      <c r="K19" s="13" t="n">
        <f aca="false">IFERROR(K18/'Deal Analyzer'!$F$20,0)</f>
        <v>1.5300959615619</v>
      </c>
      <c r="L19" s="13" t="n">
        <f aca="false">IFERROR(L18/'Deal Analyzer'!$F$20,0)</f>
        <v>1.74000188487635</v>
      </c>
    </row>
    <row r="21" customFormat="false" ht="15" hidden="false" customHeight="true" outlineLevel="0" collapsed="false">
      <c r="B21" s="20" t="s">
        <v>81</v>
      </c>
      <c r="C21" s="20"/>
      <c r="D21" s="20"/>
      <c r="E21" s="20"/>
      <c r="F21" s="20"/>
      <c r="G21" s="20"/>
      <c r="H21" s="20"/>
      <c r="I21" s="20"/>
      <c r="J21" s="20"/>
      <c r="K21" s="20"/>
      <c r="L21" s="20"/>
    </row>
    <row r="22" customFormat="false" ht="15" hidden="false" customHeight="false" outlineLevel="0" collapsed="false">
      <c r="B22" s="20"/>
      <c r="C22" s="20"/>
      <c r="D22" s="20"/>
      <c r="E22" s="20"/>
      <c r="F22" s="20"/>
      <c r="G22" s="20"/>
      <c r="H22" s="20"/>
      <c r="I22" s="20"/>
      <c r="J22" s="20"/>
      <c r="K22" s="20"/>
      <c r="L22" s="20"/>
    </row>
  </sheetData>
  <mergeCells count="2">
    <mergeCell ref="B2:L2"/>
    <mergeCell ref="B21:L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4" min="3" style="0" width="14"/>
    <col collapsed="false" customWidth="true" hidden="false" outlineLevel="0" max="5" min="5" style="0" width="16"/>
    <col collapsed="false" customWidth="true" hidden="false" outlineLevel="0" max="6" min="6" style="0" width="40"/>
  </cols>
  <sheetData>
    <row r="2" customFormat="false" ht="25.5" hidden="false" customHeight="true" outlineLevel="0" collapsed="false">
      <c r="B2" s="17" t="s">
        <v>82</v>
      </c>
      <c r="C2" s="17"/>
      <c r="D2" s="17"/>
      <c r="E2" s="17"/>
      <c r="F2" s="17"/>
    </row>
    <row r="4" customFormat="false" ht="15" hidden="false" customHeight="false" outlineLevel="0" collapsed="false">
      <c r="B4" s="14" t="s">
        <v>83</v>
      </c>
      <c r="C4" s="14" t="s">
        <v>84</v>
      </c>
      <c r="D4" s="14" t="s">
        <v>85</v>
      </c>
      <c r="E4" s="14" t="s">
        <v>86</v>
      </c>
      <c r="F4" s="14" t="s">
        <v>87</v>
      </c>
    </row>
    <row r="5" customFormat="false" ht="15" hidden="false" customHeight="false" outlineLevel="0" collapsed="false">
      <c r="B5" s="12" t="s">
        <v>88</v>
      </c>
      <c r="C5" s="12" t="s">
        <v>89</v>
      </c>
      <c r="D5" s="6" t="n">
        <v>12500</v>
      </c>
      <c r="E5" s="12" t="s">
        <v>90</v>
      </c>
      <c r="F5" s="12" t="s">
        <v>91</v>
      </c>
    </row>
    <row r="6" customFormat="false" ht="15" hidden="false" customHeight="false" outlineLevel="0" collapsed="false">
      <c r="B6" s="21"/>
      <c r="C6" s="21"/>
      <c r="D6" s="22"/>
      <c r="E6" s="21"/>
      <c r="F6" s="21"/>
    </row>
    <row r="7" customFormat="false" ht="15" hidden="false" customHeight="false" outlineLevel="0" collapsed="false">
      <c r="B7" s="21"/>
      <c r="C7" s="21"/>
      <c r="D7" s="22"/>
      <c r="E7" s="21"/>
      <c r="F7" s="21"/>
    </row>
    <row r="8" customFormat="false" ht="15" hidden="false" customHeight="false" outlineLevel="0" collapsed="false">
      <c r="B8" s="21"/>
      <c r="C8" s="21"/>
      <c r="D8" s="22"/>
      <c r="E8" s="21"/>
      <c r="F8" s="21"/>
    </row>
    <row r="9" customFormat="false" ht="15" hidden="false" customHeight="false" outlineLevel="0" collapsed="false">
      <c r="B9" s="21"/>
      <c r="C9" s="21"/>
      <c r="D9" s="22"/>
      <c r="E9" s="21"/>
      <c r="F9" s="21"/>
    </row>
    <row r="10" customFormat="false" ht="15" hidden="false" customHeight="false" outlineLevel="0" collapsed="false">
      <c r="B10" s="21"/>
      <c r="C10" s="21"/>
      <c r="D10" s="22"/>
      <c r="E10" s="21"/>
      <c r="F10" s="21"/>
    </row>
    <row r="11" customFormat="false" ht="15" hidden="false" customHeight="false" outlineLevel="0" collapsed="false">
      <c r="B11" s="21"/>
      <c r="C11" s="21"/>
      <c r="D11" s="22"/>
      <c r="E11" s="21"/>
      <c r="F11" s="21"/>
    </row>
    <row r="12" customFormat="false" ht="15" hidden="false" customHeight="false" outlineLevel="0" collapsed="false">
      <c r="B12" s="21"/>
      <c r="C12" s="21"/>
      <c r="D12" s="22"/>
      <c r="E12" s="21"/>
      <c r="F12" s="21"/>
    </row>
    <row r="13" customFormat="false" ht="15" hidden="false" customHeight="false" outlineLevel="0" collapsed="false">
      <c r="B13" s="21"/>
      <c r="C13" s="21"/>
      <c r="D13" s="22"/>
      <c r="E13" s="21"/>
      <c r="F13" s="21"/>
    </row>
    <row r="14" customFormat="false" ht="15" hidden="false" customHeight="false" outlineLevel="0" collapsed="false">
      <c r="B14" s="21"/>
      <c r="C14" s="21"/>
      <c r="D14" s="22"/>
      <c r="E14" s="21"/>
      <c r="F14" s="21"/>
    </row>
    <row r="15" customFormat="false" ht="15" hidden="false" customHeight="false" outlineLevel="0" collapsed="false">
      <c r="B15" s="21"/>
      <c r="C15" s="21"/>
      <c r="D15" s="22"/>
      <c r="E15" s="21"/>
      <c r="F15" s="21"/>
    </row>
    <row r="16" customFormat="false" ht="15" hidden="false" customHeight="false" outlineLevel="0" collapsed="false">
      <c r="B16" s="21"/>
      <c r="C16" s="21"/>
      <c r="D16" s="22"/>
      <c r="E16" s="21"/>
      <c r="F16" s="21"/>
    </row>
    <row r="17" customFormat="false" ht="15" hidden="false" customHeight="false" outlineLevel="0" collapsed="false">
      <c r="B17" s="21"/>
      <c r="C17" s="21"/>
      <c r="D17" s="22"/>
      <c r="E17" s="21"/>
      <c r="F17" s="21"/>
    </row>
    <row r="18" customFormat="false" ht="15" hidden="false" customHeight="false" outlineLevel="0" collapsed="false">
      <c r="B18" s="21"/>
      <c r="C18" s="21"/>
      <c r="D18" s="22"/>
      <c r="E18" s="21"/>
      <c r="F18" s="21"/>
    </row>
    <row r="19" customFormat="false" ht="15" hidden="false" customHeight="false" outlineLevel="0" collapsed="false">
      <c r="B19" s="21"/>
      <c r="C19" s="21"/>
      <c r="D19" s="22"/>
      <c r="E19" s="21"/>
      <c r="F19" s="21"/>
    </row>
    <row r="20" customFormat="false" ht="15" hidden="false" customHeight="false" outlineLevel="0" collapsed="false">
      <c r="B20" s="21"/>
      <c r="C20" s="21"/>
      <c r="D20" s="22"/>
      <c r="E20" s="21"/>
      <c r="F20" s="21"/>
    </row>
    <row r="21" customFormat="false" ht="15" hidden="false" customHeight="false" outlineLevel="0" collapsed="false">
      <c r="B21" s="21"/>
      <c r="C21" s="21"/>
      <c r="D21" s="22"/>
      <c r="E21" s="21"/>
      <c r="F21" s="21"/>
    </row>
    <row r="22" customFormat="false" ht="15" hidden="false" customHeight="false" outlineLevel="0" collapsed="false">
      <c r="B22" s="21"/>
      <c r="C22" s="21"/>
      <c r="D22" s="22"/>
      <c r="E22" s="21"/>
      <c r="F22" s="21"/>
    </row>
    <row r="23" customFormat="false" ht="15" hidden="false" customHeight="false" outlineLevel="0" collapsed="false">
      <c r="B23" s="21"/>
      <c r="C23" s="21"/>
      <c r="D23" s="22"/>
      <c r="E23" s="21"/>
      <c r="F23" s="21"/>
    </row>
    <row r="24" customFormat="false" ht="15" hidden="false" customHeight="false" outlineLevel="0" collapsed="false">
      <c r="B24" s="21"/>
      <c r="C24" s="21"/>
      <c r="D24" s="22"/>
      <c r="E24" s="21"/>
      <c r="F24" s="21"/>
    </row>
    <row r="26" customFormat="false" ht="15" hidden="false" customHeight="false" outlineLevel="0" collapsed="false">
      <c r="C26" s="8" t="s">
        <v>92</v>
      </c>
      <c r="D26" s="23" t="n">
        <f aca="false">SUM(D5:D24)</f>
        <v>12500</v>
      </c>
    </row>
    <row r="28" customFormat="false" ht="15" hidden="false" customHeight="false" outlineLevel="0" collapsed="false">
      <c r="B28" s="24" t="s">
        <v>93</v>
      </c>
    </row>
  </sheetData>
  <mergeCells count="1">
    <mergeCell ref="B2:F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100"/>
  </cols>
  <sheetData>
    <row r="2" customFormat="false" ht="25.5" hidden="false" customHeight="true" outlineLevel="0" collapsed="false">
      <c r="B2" s="25" t="s">
        <v>94</v>
      </c>
    </row>
    <row r="4" customFormat="false" ht="15" hidden="false" customHeight="false" outlineLevel="0" collapsed="false">
      <c r="B4" s="5" t="s">
        <v>95</v>
      </c>
    </row>
    <row r="5" customFormat="false" ht="15" hidden="false" customHeight="false" outlineLevel="0" collapsed="false">
      <c r="B5" s="5" t="s">
        <v>96</v>
      </c>
    </row>
    <row r="6" customFormat="false" ht="15" hidden="false" customHeight="false" outlineLevel="0" collapsed="false">
      <c r="B6" s="5" t="s">
        <v>97</v>
      </c>
    </row>
    <row r="8" customFormat="false" ht="15" hidden="false" customHeight="false" outlineLevel="0" collapsed="false">
      <c r="B8" s="5" t="s">
        <v>98</v>
      </c>
    </row>
    <row r="9" customFormat="false" ht="15" hidden="false" customHeight="false" outlineLevel="0" collapsed="false">
      <c r="B9" s="5" t="s">
        <v>99</v>
      </c>
    </row>
    <row r="11" customFormat="false" ht="15" hidden="false" customHeight="false" outlineLevel="0" collapsed="false">
      <c r="B11" s="5" t="s">
        <v>100</v>
      </c>
    </row>
    <row r="13" customFormat="false" ht="15" hidden="false" customHeight="false" outlineLevel="0" collapsed="false">
      <c r="B13" s="5" t="s">
        <v>101</v>
      </c>
    </row>
    <row r="14" customFormat="false" ht="15" hidden="false" customHeight="false" outlineLevel="0" collapsed="false">
      <c r="B14" s="4" t="s">
        <v>102</v>
      </c>
    </row>
    <row r="16" customFormat="false" ht="15" hidden="false" customHeight="false" outlineLevel="0" collapsed="false">
      <c r="B16" s="26" t="s">
        <v>103</v>
      </c>
    </row>
    <row r="17" customFormat="false" ht="15" hidden="false" customHeight="false" outlineLevel="0" collapsed="false">
      <c r="B17" s="26" t="s">
        <v>104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2026-08-25T20:12:03Z</dcterms:created>
  <dc:creator>openpyxl</dc:creator>
  <dc:description/>
  <dc:language>en-US</dc:language>
  <cp:lastModifiedBy/>
  <dcterms:modified xsi:type="dcterms:W3CDTF">2026-08-25T20:12:03Z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